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8108" yWindow="1140" windowWidth="20376" windowHeight="8556" activeTab="1"/>
  </bookViews>
  <sheets>
    <sheet name="Frame Input" sheetId="4" r:id="rId1"/>
    <sheet name="Opening Input" sheetId="2" r:id="rId2"/>
    <sheet name="Sash Replacement" sheetId="5" r:id="rId3"/>
  </sheets>
  <definedNames>
    <definedName name="_xlnm.Print_Area" localSheetId="0">'Frame Input'!$A$1:$P$25</definedName>
    <definedName name="_xlnm.Print_Area" localSheetId="1">'Opening Input'!$A$1:$V$23</definedName>
    <definedName name="_xlnm.Print_Area" localSheetId="2">'Sash Replacement'!$A$1:$P$26</definedName>
  </definedNames>
  <calcPr calcId="125725"/>
</workbook>
</file>

<file path=xl/calcChain.xml><?xml version="1.0" encoding="utf-8"?>
<calcChain xmlns="http://schemas.openxmlformats.org/spreadsheetml/2006/main">
  <c r="C11" i="4"/>
  <c r="B11"/>
  <c r="C10"/>
  <c r="B10"/>
  <c r="G12" i="2"/>
  <c r="G11"/>
  <c r="E12"/>
  <c r="E11"/>
  <c r="D12"/>
  <c r="C12"/>
  <c r="B12"/>
  <c r="D11"/>
  <c r="C11"/>
  <c r="B11"/>
  <c r="D32"/>
  <c r="D31"/>
  <c r="C30"/>
  <c r="H30" s="1"/>
  <c r="C29"/>
  <c r="D29" s="1"/>
  <c r="D25"/>
  <c r="D24"/>
  <c r="C23"/>
  <c r="H23" s="1"/>
  <c r="C22"/>
  <c r="H22" s="1"/>
  <c r="D14"/>
  <c r="D15"/>
  <c r="D16"/>
  <c r="D17"/>
  <c r="D18"/>
  <c r="D13"/>
  <c r="C7" i="4"/>
  <c r="C8"/>
  <c r="C9"/>
  <c r="C12"/>
  <c r="C13"/>
  <c r="C14"/>
  <c r="C15"/>
  <c r="C16"/>
  <c r="C17"/>
  <c r="C6"/>
  <c r="C32" i="2"/>
  <c r="C31"/>
  <c r="C25"/>
  <c r="C24"/>
  <c r="C18"/>
  <c r="C17"/>
  <c r="C16"/>
  <c r="C15"/>
  <c r="C14"/>
  <c r="C13"/>
  <c r="C10"/>
  <c r="D10" s="1"/>
  <c r="C9"/>
  <c r="D9" s="1"/>
  <c r="C8"/>
  <c r="D8" s="1"/>
  <c r="C7"/>
  <c r="D7" s="1"/>
  <c r="H14" i="5"/>
  <c r="G14"/>
  <c r="F14"/>
  <c r="E14"/>
  <c r="D14"/>
  <c r="C14"/>
  <c r="B14"/>
  <c r="H13"/>
  <c r="D13" s="1"/>
  <c r="G13"/>
  <c r="F13"/>
  <c r="E13"/>
  <c r="C13"/>
  <c r="B13"/>
  <c r="H12"/>
  <c r="G12"/>
  <c r="F12"/>
  <c r="E12"/>
  <c r="D12"/>
  <c r="C12"/>
  <c r="B12"/>
  <c r="H11"/>
  <c r="G11"/>
  <c r="F11"/>
  <c r="E11"/>
  <c r="D11"/>
  <c r="C11"/>
  <c r="B11"/>
  <c r="H10"/>
  <c r="G10"/>
  <c r="C10" s="1"/>
  <c r="F10"/>
  <c r="E10"/>
  <c r="D10"/>
  <c r="B10"/>
  <c r="H9"/>
  <c r="G9"/>
  <c r="F9"/>
  <c r="E9"/>
  <c r="D9"/>
  <c r="C9"/>
  <c r="B9"/>
  <c r="G10" i="2" l="1"/>
  <c r="D23"/>
  <c r="G8"/>
  <c r="D30"/>
  <c r="D22"/>
  <c r="G29"/>
  <c r="G30"/>
  <c r="G22"/>
  <c r="H29"/>
  <c r="H7"/>
  <c r="G7"/>
  <c r="G9"/>
  <c r="H9"/>
  <c r="G23"/>
  <c r="B32"/>
  <c r="E32" s="1"/>
  <c r="B31"/>
  <c r="F31" s="1"/>
  <c r="B30"/>
  <c r="E30" s="1"/>
  <c r="B29"/>
  <c r="F29" s="1"/>
  <c r="B25"/>
  <c r="E25" s="1"/>
  <c r="B24"/>
  <c r="F24" s="1"/>
  <c r="B23"/>
  <c r="E23" s="1"/>
  <c r="B22"/>
  <c r="E22" s="1"/>
  <c r="B7" i="4"/>
  <c r="B8"/>
  <c r="B9"/>
  <c r="B12"/>
  <c r="B13"/>
  <c r="B14"/>
  <c r="B15"/>
  <c r="B16"/>
  <c r="B17"/>
  <c r="B6"/>
  <c r="F22" i="2" l="1"/>
  <c r="E24"/>
  <c r="E31"/>
  <c r="E29"/>
  <c r="F32"/>
  <c r="F30"/>
  <c r="F23"/>
  <c r="F25"/>
  <c r="G14"/>
  <c r="G16"/>
  <c r="G18"/>
  <c r="G13"/>
  <c r="B13"/>
  <c r="E13" s="1"/>
  <c r="B14"/>
  <c r="E14" s="1"/>
  <c r="B15"/>
  <c r="B16"/>
  <c r="E16" s="1"/>
  <c r="B17"/>
  <c r="B18"/>
  <c r="E18" s="1"/>
  <c r="B10"/>
  <c r="E10" s="1"/>
  <c r="B9"/>
  <c r="F9" s="1"/>
  <c r="B8"/>
  <c r="E8" s="1"/>
  <c r="B7"/>
  <c r="F7" s="1"/>
  <c r="E9" l="1"/>
  <c r="E17"/>
  <c r="F17"/>
  <c r="F15"/>
  <c r="E15"/>
  <c r="H17"/>
  <c r="G17"/>
  <c r="G15"/>
  <c r="H15"/>
  <c r="E7"/>
  <c r="H32" l="1"/>
  <c r="G32"/>
  <c r="H25"/>
  <c r="G25"/>
  <c r="G24"/>
  <c r="G31"/>
  <c r="H31"/>
  <c r="H24"/>
</calcChain>
</file>

<file path=xl/sharedStrings.xml><?xml version="1.0" encoding="utf-8"?>
<sst xmlns="http://schemas.openxmlformats.org/spreadsheetml/2006/main" count="94" uniqueCount="40">
  <si>
    <t>Sill Angle</t>
  </si>
  <si>
    <t>Opening Width</t>
  </si>
  <si>
    <t>Opening Height</t>
  </si>
  <si>
    <t>Frame Width</t>
  </si>
  <si>
    <t>Frame Height</t>
  </si>
  <si>
    <t>Glass Width</t>
  </si>
  <si>
    <t>Glass Height</t>
  </si>
  <si>
    <t>Vinyl Casement</t>
  </si>
  <si>
    <t>Vinyl Casement Picture</t>
  </si>
  <si>
    <t>Vinyl SH Operating</t>
  </si>
  <si>
    <t>Vinyl SH Picture</t>
  </si>
  <si>
    <t>Vinyl DH Operating</t>
  </si>
  <si>
    <t>Vinyl DH Picture</t>
  </si>
  <si>
    <t>Clad Pocket DH</t>
  </si>
  <si>
    <t>Clad Pocket DHP</t>
  </si>
  <si>
    <t>Hybrid Pocket DH</t>
  </si>
  <si>
    <t>Hybrid Pocket DHP</t>
  </si>
  <si>
    <t>Sash Width</t>
  </si>
  <si>
    <t>Sash Height</t>
  </si>
  <si>
    <t>CPVC Sash Replacement</t>
  </si>
  <si>
    <t>Clad / Primed Sash Replacement</t>
  </si>
  <si>
    <t>Top Sash</t>
  </si>
  <si>
    <t>Lower Sash</t>
  </si>
  <si>
    <t>Opening Size Input</t>
  </si>
  <si>
    <t>Frame Size Input</t>
  </si>
  <si>
    <t>Equal Lite</t>
  </si>
  <si>
    <t>Cottage</t>
  </si>
  <si>
    <t>Oriel</t>
  </si>
  <si>
    <t>Clad / Primed Sash Replacement (Cottage)</t>
  </si>
  <si>
    <t>CPVC Sash Replacement (Cottage)</t>
  </si>
  <si>
    <t>Clad / Primed Sash Replacement (Oriel)</t>
  </si>
  <si>
    <t>CPVC Sash Replacement (Oriel)</t>
  </si>
  <si>
    <t>Upper</t>
  </si>
  <si>
    <t>Lower</t>
  </si>
  <si>
    <t>Inside</t>
  </si>
  <si>
    <t>Outside</t>
  </si>
  <si>
    <t>Frame Height (Inside)</t>
  </si>
  <si>
    <t>Clad Pocket Casement</t>
  </si>
  <si>
    <t>Revive Pocket Casement</t>
  </si>
  <si>
    <t>Hybrid Pocket Casement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</si>
</sst>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left" vertical="center" indent="1"/>
    </xf>
    <xf numFmtId="0" fontId="0" fillId="3" borderId="1" xfId="0" applyFill="1" applyBorder="1" applyAlignment="1">
      <alignment horizontal="left" vertical="center" wrapText="1" indent="1"/>
    </xf>
    <xf numFmtId="0" fontId="0" fillId="3" borderId="1" xfId="0" applyFill="1" applyBorder="1" applyAlignment="1">
      <alignment horizontal="left" vertical="center" indent="1"/>
    </xf>
    <xf numFmtId="0" fontId="1" fillId="4" borderId="1" xfId="0" applyFont="1" applyFill="1" applyBorder="1" applyAlignment="1">
      <alignment horizontal="left" vertical="center" indent="1"/>
    </xf>
    <xf numFmtId="164" fontId="1" fillId="2" borderId="1" xfId="0" applyNumberFormat="1" applyFont="1" applyFill="1" applyBorder="1" applyAlignment="1">
      <alignment horizontal="left" vertical="center" indent="1"/>
    </xf>
    <xf numFmtId="0" fontId="0" fillId="3" borderId="2" xfId="0" applyFill="1" applyBorder="1" applyAlignment="1">
      <alignment horizontal="left" vertical="center" indent="1"/>
    </xf>
    <xf numFmtId="0" fontId="0" fillId="0" borderId="0" xfId="0" applyFill="1" applyBorder="1" applyAlignment="1">
      <alignment horizontal="left" vertical="center" indent="1"/>
    </xf>
    <xf numFmtId="164" fontId="1" fillId="0" borderId="0" xfId="0" applyNumberFormat="1" applyFont="1" applyFill="1" applyBorder="1" applyAlignment="1">
      <alignment horizontal="left" vertical="center" indent="1"/>
    </xf>
    <xf numFmtId="0" fontId="1" fillId="2" borderId="1" xfId="0" applyFont="1" applyFill="1" applyBorder="1" applyAlignment="1">
      <alignment horizontal="left" vertical="center" indent="1"/>
    </xf>
    <xf numFmtId="0" fontId="0" fillId="0" borderId="0" xfId="0" applyFill="1" applyBorder="1" applyAlignment="1">
      <alignment horizontal="left" vertical="center" wrapText="1" indent="1"/>
    </xf>
    <xf numFmtId="164" fontId="2" fillId="0" borderId="0" xfId="0" applyNumberFormat="1" applyFont="1" applyFill="1" applyBorder="1" applyAlignment="1">
      <alignment horizontal="left" vertical="center" indent="1"/>
    </xf>
    <xf numFmtId="0" fontId="1" fillId="0" borderId="0" xfId="0" applyFont="1" applyFill="1" applyBorder="1" applyAlignment="1">
      <alignment horizontal="left" vertical="center" indent="1"/>
    </xf>
    <xf numFmtId="0" fontId="0" fillId="0" borderId="0" xfId="0" applyFill="1" applyBorder="1" applyAlignment="1">
      <alignment vertical="center" wrapText="1"/>
    </xf>
    <xf numFmtId="164" fontId="1" fillId="0" borderId="3" xfId="0" applyNumberFormat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horizontal="left" vertical="center" indent="1"/>
    </xf>
    <xf numFmtId="0" fontId="1" fillId="4" borderId="1" xfId="0" applyFont="1" applyFill="1" applyBorder="1" applyAlignment="1" applyProtection="1">
      <alignment horizontal="left" vertical="center" indent="1"/>
      <protection locked="0"/>
    </xf>
    <xf numFmtId="0" fontId="0" fillId="0" borderId="0" xfId="0" applyAlignment="1" applyProtection="1">
      <alignment horizontal="left" vertical="center" indent="1"/>
      <protection locked="0"/>
    </xf>
    <xf numFmtId="0" fontId="0" fillId="3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 vertical="center" indent="1"/>
    </xf>
    <xf numFmtId="0" fontId="0" fillId="3" borderId="1" xfId="0" applyFill="1" applyBorder="1" applyAlignment="1">
      <alignment horizontal="center" vertical="center"/>
    </xf>
    <xf numFmtId="0" fontId="0" fillId="3" borderId="7" xfId="0" applyFill="1" applyBorder="1" applyAlignment="1">
      <alignment vertical="center" wrapText="1"/>
    </xf>
    <xf numFmtId="0" fontId="0" fillId="3" borderId="7" xfId="0" applyFill="1" applyBorder="1" applyAlignment="1">
      <alignment vertical="center"/>
    </xf>
    <xf numFmtId="0" fontId="0" fillId="5" borderId="7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left" vertical="center" indent="1"/>
      <protection locked="0"/>
    </xf>
    <xf numFmtId="0" fontId="1" fillId="3" borderId="1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536995</xdr:colOff>
      <xdr:row>0</xdr:row>
      <xdr:rowOff>38100</xdr:rowOff>
    </xdr:from>
    <xdr:to>
      <xdr:col>16</xdr:col>
      <xdr:colOff>270295</xdr:colOff>
      <xdr:row>22</xdr:row>
      <xdr:rowOff>24204</xdr:rowOff>
    </xdr:to>
    <xdr:pic>
      <xdr:nvPicPr>
        <xdr:cNvPr id="2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28713" y="38100"/>
          <a:ext cx="4000500" cy="53021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3</xdr:col>
      <xdr:colOff>331689</xdr:colOff>
      <xdr:row>0</xdr:row>
      <xdr:rowOff>0</xdr:rowOff>
    </xdr:from>
    <xdr:to>
      <xdr:col>10</xdr:col>
      <xdr:colOff>21292</xdr:colOff>
      <xdr:row>23</xdr:row>
      <xdr:rowOff>60063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303054" y="0"/>
          <a:ext cx="4019556" cy="5555428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123726</xdr:colOff>
      <xdr:row>2</xdr:row>
      <xdr:rowOff>96818</xdr:rowOff>
    </xdr:from>
    <xdr:to>
      <xdr:col>22</xdr:col>
      <xdr:colOff>466626</xdr:colOff>
      <xdr:row>23</xdr:row>
      <xdr:rowOff>19273</xdr:rowOff>
    </xdr:to>
    <xdr:pic>
      <xdr:nvPicPr>
        <xdr:cNvPr id="1031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670267" y="580912"/>
          <a:ext cx="4000500" cy="5346102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9</xdr:col>
      <xdr:colOff>448236</xdr:colOff>
      <xdr:row>1</xdr:row>
      <xdr:rowOff>107575</xdr:rowOff>
    </xdr:from>
    <xdr:to>
      <xdr:col>16</xdr:col>
      <xdr:colOff>200592</xdr:colOff>
      <xdr:row>22</xdr:row>
      <xdr:rowOff>257285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668871" y="349622"/>
          <a:ext cx="4019556" cy="5555428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89642</xdr:colOff>
      <xdr:row>0</xdr:row>
      <xdr:rowOff>71715</xdr:rowOff>
    </xdr:from>
    <xdr:to>
      <xdr:col>15</xdr:col>
      <xdr:colOff>318242</xdr:colOff>
      <xdr:row>22</xdr:row>
      <xdr:rowOff>90989</xdr:rowOff>
    </xdr:to>
    <xdr:pic>
      <xdr:nvPicPr>
        <xdr:cNvPr id="20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34113" y="71715"/>
          <a:ext cx="3276600" cy="516501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showGridLines="0" zoomScale="85" zoomScaleNormal="85" workbookViewId="0">
      <selection activeCell="A12" sqref="A12"/>
    </sheetView>
  </sheetViews>
  <sheetFormatPr defaultRowHeight="14.4"/>
  <cols>
    <col min="1" max="1" width="30" style="1" customWidth="1"/>
    <col min="2" max="2" width="13.33203125" style="1" customWidth="1"/>
    <col min="3" max="3" width="14.5546875" style="1" customWidth="1"/>
    <col min="4" max="4" width="12.109375" style="1" customWidth="1"/>
    <col min="5" max="5" width="12.109375" style="1" hidden="1" customWidth="1"/>
    <col min="6" max="7" width="12.109375" style="1" customWidth="1"/>
    <col min="8" max="9" width="8.88671875" style="1"/>
    <col min="10" max="10" width="8.88671875" style="1" customWidth="1"/>
    <col min="11" max="16384" width="8.88671875" style="1"/>
  </cols>
  <sheetData>
    <row r="1" spans="1:7" ht="19.2" customHeight="1">
      <c r="A1" s="27" t="s">
        <v>24</v>
      </c>
      <c r="B1" s="27"/>
      <c r="E1" s="18"/>
    </row>
    <row r="2" spans="1:7" ht="20.399999999999999" customHeight="1">
      <c r="A2" s="2" t="s">
        <v>3</v>
      </c>
      <c r="B2" s="17">
        <v>36</v>
      </c>
      <c r="E2" s="18"/>
    </row>
    <row r="3" spans="1:7" ht="20.399999999999999" customHeight="1">
      <c r="A3" s="2" t="s">
        <v>36</v>
      </c>
      <c r="B3" s="17">
        <v>60</v>
      </c>
      <c r="E3" s="18">
        <v>0</v>
      </c>
    </row>
    <row r="4" spans="1:7" ht="19.2" customHeight="1">
      <c r="D4" s="13"/>
      <c r="E4" s="18">
        <v>2</v>
      </c>
      <c r="F4" s="13"/>
      <c r="G4" s="13"/>
    </row>
    <row r="5" spans="1:7" ht="35.4" customHeight="1">
      <c r="B5" s="2" t="s">
        <v>1</v>
      </c>
      <c r="C5" s="2" t="s">
        <v>2</v>
      </c>
      <c r="D5" s="10"/>
      <c r="E5" s="18">
        <v>3</v>
      </c>
      <c r="F5" s="10"/>
      <c r="G5" s="7"/>
    </row>
    <row r="6" spans="1:7" ht="19.2" customHeight="1">
      <c r="A6" s="3" t="s">
        <v>13</v>
      </c>
      <c r="B6" s="16">
        <f>$B$2+0.5</f>
        <v>36.5</v>
      </c>
      <c r="C6" s="16">
        <f>$B$3+0.375</f>
        <v>60.375</v>
      </c>
      <c r="D6" s="11"/>
      <c r="E6" s="18">
        <v>4</v>
      </c>
      <c r="F6" s="8"/>
      <c r="G6" s="8"/>
    </row>
    <row r="7" spans="1:7" ht="19.2" customHeight="1">
      <c r="A7" s="3" t="s">
        <v>14</v>
      </c>
      <c r="B7" s="16">
        <f t="shared" ref="B7:B17" si="0">$B$2+0.5</f>
        <v>36.5</v>
      </c>
      <c r="C7" s="16">
        <f t="shared" ref="C7:C17" si="1">$B$3+0.375</f>
        <v>60.375</v>
      </c>
      <c r="D7" s="14"/>
      <c r="E7" s="18">
        <v>5</v>
      </c>
      <c r="F7" s="15"/>
      <c r="G7" s="15"/>
    </row>
    <row r="8" spans="1:7" ht="19.2" customHeight="1">
      <c r="A8" s="3" t="s">
        <v>15</v>
      </c>
      <c r="B8" s="16">
        <f t="shared" si="0"/>
        <v>36.5</v>
      </c>
      <c r="C8" s="16">
        <f t="shared" si="1"/>
        <v>60.375</v>
      </c>
      <c r="D8" s="8"/>
      <c r="E8" s="18">
        <v>6</v>
      </c>
      <c r="F8" s="8"/>
      <c r="G8" s="8"/>
    </row>
    <row r="9" spans="1:7" ht="19.2" customHeight="1">
      <c r="A9" s="3" t="s">
        <v>16</v>
      </c>
      <c r="B9" s="16">
        <f t="shared" si="0"/>
        <v>36.5</v>
      </c>
      <c r="C9" s="16">
        <f t="shared" si="1"/>
        <v>60.375</v>
      </c>
      <c r="D9" s="14"/>
      <c r="E9" s="18">
        <v>7</v>
      </c>
      <c r="F9" s="15"/>
      <c r="G9" s="15"/>
    </row>
    <row r="10" spans="1:7" ht="19.2" customHeight="1">
      <c r="A10" s="6" t="s">
        <v>37</v>
      </c>
      <c r="B10" s="16">
        <f t="shared" si="0"/>
        <v>36.5</v>
      </c>
      <c r="C10" s="16">
        <f t="shared" si="1"/>
        <v>60.375</v>
      </c>
      <c r="D10" s="14"/>
      <c r="E10" s="18"/>
      <c r="F10" s="15"/>
      <c r="G10" s="15"/>
    </row>
    <row r="11" spans="1:7" ht="19.2" customHeight="1">
      <c r="A11" s="6" t="s">
        <v>39</v>
      </c>
      <c r="B11" s="16">
        <f t="shared" si="0"/>
        <v>36.5</v>
      </c>
      <c r="C11" s="16">
        <f t="shared" si="1"/>
        <v>60.375</v>
      </c>
      <c r="D11" s="14"/>
      <c r="E11" s="18"/>
      <c r="F11" s="15"/>
      <c r="G11" s="15"/>
    </row>
    <row r="12" spans="1:7" ht="19.2" customHeight="1">
      <c r="A12" s="6" t="s">
        <v>7</v>
      </c>
      <c r="B12" s="16">
        <f t="shared" si="0"/>
        <v>36.5</v>
      </c>
      <c r="C12" s="16">
        <f t="shared" si="1"/>
        <v>60.375</v>
      </c>
      <c r="D12" s="14"/>
      <c r="E12" s="18">
        <v>8</v>
      </c>
      <c r="F12" s="15"/>
      <c r="G12" s="15"/>
    </row>
    <row r="13" spans="1:7" ht="19.2" customHeight="1">
      <c r="A13" s="6" t="s">
        <v>8</v>
      </c>
      <c r="B13" s="16">
        <f t="shared" si="0"/>
        <v>36.5</v>
      </c>
      <c r="C13" s="16">
        <f t="shared" si="1"/>
        <v>60.375</v>
      </c>
      <c r="D13" s="14"/>
      <c r="E13" s="18">
        <v>9</v>
      </c>
      <c r="F13" s="15"/>
      <c r="G13" s="15"/>
    </row>
    <row r="14" spans="1:7" ht="19.2" customHeight="1">
      <c r="A14" s="6" t="s">
        <v>9</v>
      </c>
      <c r="B14" s="16">
        <f t="shared" si="0"/>
        <v>36.5</v>
      </c>
      <c r="C14" s="16">
        <f t="shared" si="1"/>
        <v>60.375</v>
      </c>
      <c r="D14" s="8"/>
      <c r="E14" s="18">
        <v>10</v>
      </c>
      <c r="F14" s="12"/>
      <c r="G14" s="12"/>
    </row>
    <row r="15" spans="1:7" ht="19.2" customHeight="1">
      <c r="A15" s="6" t="s">
        <v>10</v>
      </c>
      <c r="B15" s="16">
        <f t="shared" si="0"/>
        <v>36.5</v>
      </c>
      <c r="C15" s="16">
        <f t="shared" si="1"/>
        <v>60.375</v>
      </c>
      <c r="D15" s="14"/>
      <c r="E15" s="18">
        <v>11</v>
      </c>
      <c r="F15" s="15"/>
      <c r="G15" s="15"/>
    </row>
    <row r="16" spans="1:7" ht="19.2" customHeight="1">
      <c r="A16" s="3" t="s">
        <v>11</v>
      </c>
      <c r="B16" s="16">
        <f t="shared" si="0"/>
        <v>36.5</v>
      </c>
      <c r="C16" s="16">
        <f t="shared" si="1"/>
        <v>60.375</v>
      </c>
      <c r="D16" s="8"/>
      <c r="E16" s="18">
        <v>12</v>
      </c>
      <c r="F16" s="12"/>
      <c r="G16" s="12"/>
    </row>
    <row r="17" spans="1:7" ht="19.2" customHeight="1">
      <c r="A17" s="3" t="s">
        <v>12</v>
      </c>
      <c r="B17" s="16">
        <f t="shared" si="0"/>
        <v>36.5</v>
      </c>
      <c r="C17" s="16">
        <f t="shared" si="1"/>
        <v>60.375</v>
      </c>
      <c r="D17" s="14"/>
      <c r="E17" s="18">
        <v>13</v>
      </c>
      <c r="F17" s="15"/>
      <c r="G17" s="15"/>
    </row>
    <row r="18" spans="1:7" ht="19.2" customHeight="1">
      <c r="A18" s="7"/>
      <c r="B18" s="8"/>
      <c r="C18" s="8"/>
      <c r="D18" s="8"/>
      <c r="E18" s="18">
        <v>14</v>
      </c>
      <c r="F18" s="7"/>
      <c r="G18" s="7"/>
    </row>
    <row r="19" spans="1:7">
      <c r="E19" s="18">
        <v>15</v>
      </c>
    </row>
    <row r="20" spans="1:7">
      <c r="E20" s="18">
        <v>16</v>
      </c>
    </row>
    <row r="21" spans="1:7">
      <c r="E21" s="18">
        <v>17</v>
      </c>
    </row>
    <row r="22" spans="1:7">
      <c r="E22" s="18">
        <v>18</v>
      </c>
    </row>
    <row r="23" spans="1:7">
      <c r="E23" s="18">
        <v>19</v>
      </c>
    </row>
    <row r="24" spans="1:7">
      <c r="E24" s="18">
        <v>20</v>
      </c>
    </row>
  </sheetData>
  <mergeCells count="1">
    <mergeCell ref="A1:B1"/>
  </mergeCells>
  <pageMargins left="0.45" right="0.45" top="1.2" bottom="0.75" header="0.3" footer="0.3"/>
  <pageSetup scale="73" orientation="landscape" r:id="rId1"/>
  <headerFooter>
    <oddHeader>&amp;C&amp;36Windsor Revive Sizing Calculator&amp;11
&amp;24Frame Input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2"/>
  <sheetViews>
    <sheetView showGridLines="0" tabSelected="1" zoomScale="85" zoomScaleNormal="85" workbookViewId="0">
      <selection activeCell="G13" sqref="G13:H13"/>
    </sheetView>
  </sheetViews>
  <sheetFormatPr defaultRowHeight="14.4"/>
  <cols>
    <col min="1" max="1" width="30" style="1" customWidth="1"/>
    <col min="2" max="2" width="13.77734375" style="1" customWidth="1"/>
    <col min="3" max="4" width="12.44140625" style="1" customWidth="1"/>
    <col min="5" max="8" width="12.109375" style="1" customWidth="1"/>
    <col min="9" max="9" width="8.88671875" style="1" hidden="1" customWidth="1"/>
    <col min="10" max="11" width="8.88671875" style="1" customWidth="1"/>
    <col min="12" max="16384" width="8.88671875" style="1"/>
  </cols>
  <sheetData>
    <row r="1" spans="1:11" ht="19.2" customHeight="1">
      <c r="A1" s="27" t="s">
        <v>23</v>
      </c>
      <c r="B1" s="27"/>
      <c r="C1" s="25"/>
    </row>
    <row r="2" spans="1:11" ht="19.2" customHeight="1">
      <c r="A2" s="3" t="s">
        <v>1</v>
      </c>
      <c r="B2" s="4">
        <v>36</v>
      </c>
      <c r="C2" s="12"/>
    </row>
    <row r="3" spans="1:11" ht="19.2" customHeight="1">
      <c r="A3" s="3" t="s">
        <v>2</v>
      </c>
      <c r="B3" s="4">
        <v>36</v>
      </c>
      <c r="C3" s="12"/>
      <c r="K3" s="18">
        <v>0</v>
      </c>
    </row>
    <row r="4" spans="1:11" ht="19.2" customHeight="1">
      <c r="A4" s="3" t="s">
        <v>0</v>
      </c>
      <c r="B4" s="17">
        <v>8</v>
      </c>
      <c r="C4" s="26"/>
      <c r="K4" s="18">
        <v>1</v>
      </c>
    </row>
    <row r="5" spans="1:11" ht="20.399999999999999" customHeight="1">
      <c r="C5" s="28" t="s">
        <v>4</v>
      </c>
      <c r="D5" s="29"/>
      <c r="E5" s="31" t="s">
        <v>5</v>
      </c>
      <c r="F5" s="31"/>
      <c r="G5" s="31" t="s">
        <v>6</v>
      </c>
      <c r="H5" s="31"/>
      <c r="K5" s="18">
        <v>2</v>
      </c>
    </row>
    <row r="6" spans="1:11" ht="20.399999999999999" customHeight="1">
      <c r="A6" s="24" t="s">
        <v>25</v>
      </c>
      <c r="B6" s="22" t="s">
        <v>3</v>
      </c>
      <c r="C6" s="19" t="s">
        <v>35</v>
      </c>
      <c r="D6" s="19" t="s">
        <v>34</v>
      </c>
      <c r="E6" s="22" t="s">
        <v>21</v>
      </c>
      <c r="F6" s="23" t="s">
        <v>22</v>
      </c>
      <c r="G6" s="22" t="s">
        <v>21</v>
      </c>
      <c r="H6" s="23" t="s">
        <v>22</v>
      </c>
      <c r="K6" s="18">
        <v>3</v>
      </c>
    </row>
    <row r="7" spans="1:11" ht="20.399999999999999" customHeight="1">
      <c r="A7" s="3" t="s">
        <v>13</v>
      </c>
      <c r="B7" s="5">
        <f>$B$2-0.5</f>
        <v>35.5</v>
      </c>
      <c r="C7" s="5">
        <f>IF($B$4&gt;7,$B$3+0.2187,$B$3-0.375)</f>
        <v>36.218699999999998</v>
      </c>
      <c r="D7" s="5">
        <f>IF($B$4&gt;7,C7-0.594,C7)</f>
        <v>35.624699999999997</v>
      </c>
      <c r="E7" s="5">
        <f>$B7-5.375</f>
        <v>30.125</v>
      </c>
      <c r="F7" s="5">
        <f>$B7-5.375</f>
        <v>30.125</v>
      </c>
      <c r="G7" s="5">
        <f>($C7-7.9062)/2</f>
        <v>14.15625</v>
      </c>
      <c r="H7" s="5">
        <f>($C7-7.9062)/2</f>
        <v>14.15625</v>
      </c>
      <c r="K7" s="18">
        <v>4</v>
      </c>
    </row>
    <row r="8" spans="1:11" ht="20.399999999999999" customHeight="1">
      <c r="A8" s="3" t="s">
        <v>14</v>
      </c>
      <c r="B8" s="5">
        <f>$B$2-0.5</f>
        <v>35.5</v>
      </c>
      <c r="C8" s="5">
        <f>IF($B$4&gt;7,$B$3+0.2187,$B$3-0.375)</f>
        <v>36.218699999999998</v>
      </c>
      <c r="D8" s="5">
        <f t="shared" ref="D8:D10" si="0">IF($B$4&gt;7,C8-0.594,C8)</f>
        <v>35.624699999999997</v>
      </c>
      <c r="E8" s="30">
        <f>$B8-5.375</f>
        <v>30.125</v>
      </c>
      <c r="F8" s="30"/>
      <c r="G8" s="30">
        <f>$C8-6.438</f>
        <v>29.7807</v>
      </c>
      <c r="H8" s="30"/>
      <c r="K8" s="18">
        <v>5</v>
      </c>
    </row>
    <row r="9" spans="1:11" ht="20.399999999999999" customHeight="1">
      <c r="A9" s="3" t="s">
        <v>15</v>
      </c>
      <c r="B9" s="5">
        <f>$B$2-0.5</f>
        <v>35.5</v>
      </c>
      <c r="C9" s="5">
        <f>IF($B$4&gt;7,$B$3+0.2187,$B$3-0.375)</f>
        <v>36.218699999999998</v>
      </c>
      <c r="D9" s="5">
        <f t="shared" si="0"/>
        <v>35.624699999999997</v>
      </c>
      <c r="E9" s="5">
        <f>$B9-5.375</f>
        <v>30.125</v>
      </c>
      <c r="F9" s="5">
        <f>$B9-5.375</f>
        <v>30.125</v>
      </c>
      <c r="G9" s="5">
        <f>($C9-7.9062)/2</f>
        <v>14.15625</v>
      </c>
      <c r="H9" s="5">
        <f>($C9-7.9062)/2</f>
        <v>14.15625</v>
      </c>
      <c r="K9" s="18">
        <v>6</v>
      </c>
    </row>
    <row r="10" spans="1:11" ht="20.399999999999999" customHeight="1">
      <c r="A10" s="3" t="s">
        <v>16</v>
      </c>
      <c r="B10" s="5">
        <f>$B$2-0.5</f>
        <v>35.5</v>
      </c>
      <c r="C10" s="5">
        <f>IF($B$4&gt;7,$B$3+0.2187,$B$3-0.375)</f>
        <v>36.218699999999998</v>
      </c>
      <c r="D10" s="5">
        <f t="shared" si="0"/>
        <v>35.624699999999997</v>
      </c>
      <c r="E10" s="30">
        <f>$B10-5.375</f>
        <v>30.125</v>
      </c>
      <c r="F10" s="30"/>
      <c r="G10" s="30">
        <f>$C10-6.938</f>
        <v>29.2807</v>
      </c>
      <c r="H10" s="30"/>
      <c r="K10" s="18">
        <v>7</v>
      </c>
    </row>
    <row r="11" spans="1:11" ht="20.399999999999999" customHeight="1">
      <c r="A11" s="6" t="s">
        <v>37</v>
      </c>
      <c r="B11" s="5">
        <f t="shared" ref="B11:B18" si="1">$B$2-0.5</f>
        <v>35.5</v>
      </c>
      <c r="C11" s="5">
        <f>$B$3-0.375</f>
        <v>35.625</v>
      </c>
      <c r="D11" s="5">
        <f>$B$3-0.375</f>
        <v>35.625</v>
      </c>
      <c r="E11" s="30">
        <f>$B11-4</f>
        <v>31.5</v>
      </c>
      <c r="F11" s="30"/>
      <c r="G11" s="30">
        <f>$D11-4</f>
        <v>31.625</v>
      </c>
      <c r="H11" s="30"/>
      <c r="K11" s="18"/>
    </row>
    <row r="12" spans="1:11" ht="20.399999999999999" customHeight="1">
      <c r="A12" s="6" t="s">
        <v>38</v>
      </c>
      <c r="B12" s="5">
        <f t="shared" si="1"/>
        <v>35.5</v>
      </c>
      <c r="C12" s="5">
        <f t="shared" ref="C12:D18" si="2">$B$3-0.375</f>
        <v>35.625</v>
      </c>
      <c r="D12" s="5">
        <f t="shared" si="2"/>
        <v>35.625</v>
      </c>
      <c r="E12" s="30">
        <f>$B12-4</f>
        <v>31.5</v>
      </c>
      <c r="F12" s="30"/>
      <c r="G12" s="30">
        <f>$D12-4</f>
        <v>31.625</v>
      </c>
      <c r="H12" s="30"/>
      <c r="K12" s="18"/>
    </row>
    <row r="13" spans="1:11" ht="20.399999999999999" customHeight="1">
      <c r="A13" s="6" t="s">
        <v>7</v>
      </c>
      <c r="B13" s="5">
        <f t="shared" si="1"/>
        <v>35.5</v>
      </c>
      <c r="C13" s="5">
        <f>$B$3-0.375</f>
        <v>35.625</v>
      </c>
      <c r="D13" s="5">
        <f>$B$3-0.375</f>
        <v>35.625</v>
      </c>
      <c r="E13" s="30">
        <f>$B13-5.5</f>
        <v>30</v>
      </c>
      <c r="F13" s="30"/>
      <c r="G13" s="30">
        <f>$D13-5.5</f>
        <v>30.125</v>
      </c>
      <c r="H13" s="30"/>
      <c r="K13" s="18">
        <v>8</v>
      </c>
    </row>
    <row r="14" spans="1:11" ht="20.399999999999999" customHeight="1">
      <c r="A14" s="6" t="s">
        <v>8</v>
      </c>
      <c r="B14" s="5">
        <f t="shared" si="1"/>
        <v>35.5</v>
      </c>
      <c r="C14" s="5">
        <f t="shared" si="2"/>
        <v>35.625</v>
      </c>
      <c r="D14" s="5">
        <f t="shared" si="2"/>
        <v>35.625</v>
      </c>
      <c r="E14" s="30">
        <f>$B14-5.5</f>
        <v>30</v>
      </c>
      <c r="F14" s="30"/>
      <c r="G14" s="30">
        <f>$D14-5.5</f>
        <v>30.125</v>
      </c>
      <c r="H14" s="30"/>
      <c r="K14" s="18">
        <v>9</v>
      </c>
    </row>
    <row r="15" spans="1:11" ht="20.399999999999999" customHeight="1">
      <c r="A15" s="6" t="s">
        <v>9</v>
      </c>
      <c r="B15" s="5">
        <f t="shared" si="1"/>
        <v>35.5</v>
      </c>
      <c r="C15" s="5">
        <f t="shared" si="2"/>
        <v>35.625</v>
      </c>
      <c r="D15" s="5">
        <f t="shared" si="2"/>
        <v>35.625</v>
      </c>
      <c r="E15" s="5">
        <f>B15-2.5</f>
        <v>33</v>
      </c>
      <c r="F15" s="5">
        <f>B15-4.312</f>
        <v>31.187999999999999</v>
      </c>
      <c r="G15" s="9">
        <f>D15/2-2.781</f>
        <v>15.031499999999999</v>
      </c>
      <c r="H15" s="9">
        <f>D15/2-2.656</f>
        <v>15.156499999999999</v>
      </c>
      <c r="K15" s="18">
        <v>10</v>
      </c>
    </row>
    <row r="16" spans="1:11" ht="20.399999999999999" customHeight="1">
      <c r="A16" s="6" t="s">
        <v>10</v>
      </c>
      <c r="B16" s="5">
        <f t="shared" si="1"/>
        <v>35.5</v>
      </c>
      <c r="C16" s="5">
        <f t="shared" si="2"/>
        <v>35.625</v>
      </c>
      <c r="D16" s="5">
        <f t="shared" si="2"/>
        <v>35.625</v>
      </c>
      <c r="E16" s="30">
        <f>B16-2.5</f>
        <v>33</v>
      </c>
      <c r="F16" s="30"/>
      <c r="G16" s="30">
        <f>D16-2.5</f>
        <v>33.125</v>
      </c>
      <c r="H16" s="32"/>
      <c r="K16" s="18">
        <v>11</v>
      </c>
    </row>
    <row r="17" spans="1:11" ht="20.399999999999999" customHeight="1">
      <c r="A17" s="3" t="s">
        <v>11</v>
      </c>
      <c r="B17" s="5">
        <f t="shared" si="1"/>
        <v>35.5</v>
      </c>
      <c r="C17" s="5">
        <f t="shared" si="2"/>
        <v>35.625</v>
      </c>
      <c r="D17" s="5">
        <f t="shared" si="2"/>
        <v>35.625</v>
      </c>
      <c r="E17" s="5">
        <f>B17-5.824</f>
        <v>29.676000000000002</v>
      </c>
      <c r="F17" s="5">
        <f>B17-4.824</f>
        <v>30.676000000000002</v>
      </c>
      <c r="G17" s="9">
        <f>D17/2-2.875</f>
        <v>14.9375</v>
      </c>
      <c r="H17" s="9">
        <f>D17/2-1.875</f>
        <v>15.9375</v>
      </c>
      <c r="K17" s="18">
        <v>12</v>
      </c>
    </row>
    <row r="18" spans="1:11" ht="20.399999999999999" customHeight="1">
      <c r="A18" s="3" t="s">
        <v>12</v>
      </c>
      <c r="B18" s="5">
        <f t="shared" si="1"/>
        <v>35.5</v>
      </c>
      <c r="C18" s="5">
        <f t="shared" si="2"/>
        <v>35.625</v>
      </c>
      <c r="D18" s="5">
        <f t="shared" si="2"/>
        <v>35.625</v>
      </c>
      <c r="E18" s="30">
        <f>B18-3.832</f>
        <v>31.667999999999999</v>
      </c>
      <c r="F18" s="30"/>
      <c r="G18" s="30">
        <f>D18-3.832</f>
        <v>31.792999999999999</v>
      </c>
      <c r="H18" s="32"/>
      <c r="K18" s="18">
        <v>13</v>
      </c>
    </row>
    <row r="19" spans="1:11" ht="20.399999999999999" customHeight="1">
      <c r="A19" s="7"/>
      <c r="B19" s="8"/>
      <c r="C19" s="8"/>
      <c r="D19" s="8"/>
      <c r="E19" s="8"/>
      <c r="F19" s="7"/>
      <c r="G19" s="7"/>
      <c r="H19" s="7"/>
      <c r="K19" s="18">
        <v>14</v>
      </c>
    </row>
    <row r="20" spans="1:11" ht="20.399999999999999" customHeight="1">
      <c r="C20" s="28" t="s">
        <v>4</v>
      </c>
      <c r="D20" s="29"/>
      <c r="E20" s="31" t="s">
        <v>5</v>
      </c>
      <c r="F20" s="31"/>
      <c r="G20" s="31" t="s">
        <v>6</v>
      </c>
      <c r="H20" s="31"/>
      <c r="K20" s="18">
        <v>15</v>
      </c>
    </row>
    <row r="21" spans="1:11" ht="20.399999999999999" customHeight="1">
      <c r="A21" s="20" t="s">
        <v>26</v>
      </c>
      <c r="B21" s="2" t="s">
        <v>3</v>
      </c>
      <c r="C21" s="19" t="s">
        <v>35</v>
      </c>
      <c r="D21" s="19" t="s">
        <v>34</v>
      </c>
      <c r="E21" s="2" t="s">
        <v>21</v>
      </c>
      <c r="F21" s="3" t="s">
        <v>22</v>
      </c>
      <c r="G21" s="2" t="s">
        <v>21</v>
      </c>
      <c r="H21" s="3" t="s">
        <v>22</v>
      </c>
      <c r="K21" s="18">
        <v>16</v>
      </c>
    </row>
    <row r="22" spans="1:11" ht="20.399999999999999" customHeight="1">
      <c r="A22" s="3" t="s">
        <v>13</v>
      </c>
      <c r="B22" s="5">
        <f>$B$2-0.5</f>
        <v>35.5</v>
      </c>
      <c r="C22" s="5">
        <f>IF($B$4&gt;7,$B$3+0.2187,$B$3-0.375)</f>
        <v>36.218699999999998</v>
      </c>
      <c r="D22" s="5">
        <f>IF($B$4&gt;7,C22-0.594,C22)</f>
        <v>35.624699999999997</v>
      </c>
      <c r="E22" s="5">
        <f>$B22-5.375</f>
        <v>30.125</v>
      </c>
      <c r="F22" s="5">
        <f>$B22-5.375</f>
        <v>30.125</v>
      </c>
      <c r="G22" s="5">
        <f>($C22-7.9062)*0.4</f>
        <v>11.325000000000001</v>
      </c>
      <c r="H22" s="5">
        <f>($C22-7.9062)*0.6</f>
        <v>16.987500000000001</v>
      </c>
      <c r="K22" s="18">
        <v>17</v>
      </c>
    </row>
    <row r="23" spans="1:11" ht="20.399999999999999" customHeight="1">
      <c r="A23" s="3" t="s">
        <v>15</v>
      </c>
      <c r="B23" s="5">
        <f>$B$2-0.5</f>
        <v>35.5</v>
      </c>
      <c r="C23" s="5">
        <f>IF($B$4&gt;7,$B$3+0.2187,$B$3-0.375)</f>
        <v>36.218699999999998</v>
      </c>
      <c r="D23" s="5">
        <f>IF($B$4&gt;7,C23-0.594,C23)</f>
        <v>35.624699999999997</v>
      </c>
      <c r="E23" s="5">
        <f>$B23-5.375</f>
        <v>30.125</v>
      </c>
      <c r="F23" s="5">
        <f>$B23-5.375</f>
        <v>30.125</v>
      </c>
      <c r="G23" s="5">
        <f>($C23-7.9062)*0.4</f>
        <v>11.325000000000001</v>
      </c>
      <c r="H23" s="5">
        <f>($C23-7.9062)*0.6</f>
        <v>16.987500000000001</v>
      </c>
      <c r="K23" s="18">
        <v>18</v>
      </c>
    </row>
    <row r="24" spans="1:11" ht="20.399999999999999" customHeight="1">
      <c r="A24" s="6" t="s">
        <v>9</v>
      </c>
      <c r="B24" s="5">
        <f t="shared" ref="B24:B25" si="3">$B$2-0.5</f>
        <v>35.5</v>
      </c>
      <c r="C24" s="5">
        <f t="shared" ref="C24:D25" si="4">$B$3-0.375</f>
        <v>35.625</v>
      </c>
      <c r="D24" s="5">
        <f t="shared" si="4"/>
        <v>35.625</v>
      </c>
      <c r="E24" s="5">
        <f>B24-2.5</f>
        <v>33</v>
      </c>
      <c r="F24" s="5">
        <f>B24-4.312</f>
        <v>31.187999999999999</v>
      </c>
      <c r="G24" s="5">
        <f>($G$15+$H$15)*0.4</f>
        <v>12.075200000000001</v>
      </c>
      <c r="H24" s="5">
        <f>($G$15+$H$15)*0.6</f>
        <v>18.1128</v>
      </c>
      <c r="K24" s="18">
        <v>19</v>
      </c>
    </row>
    <row r="25" spans="1:11" ht="20.399999999999999" customHeight="1">
      <c r="A25" s="3" t="s">
        <v>11</v>
      </c>
      <c r="B25" s="5">
        <f t="shared" si="3"/>
        <v>35.5</v>
      </c>
      <c r="C25" s="5">
        <f t="shared" si="4"/>
        <v>35.625</v>
      </c>
      <c r="D25" s="5">
        <f t="shared" si="4"/>
        <v>35.625</v>
      </c>
      <c r="E25" s="5">
        <f>B25-5.824</f>
        <v>29.676000000000002</v>
      </c>
      <c r="F25" s="5">
        <f>B25-4.824</f>
        <v>30.676000000000002</v>
      </c>
      <c r="G25" s="5">
        <f>($G$17+$H$17)*0.4</f>
        <v>12.350000000000001</v>
      </c>
      <c r="H25" s="5">
        <f>($G$17+$H$17)*0.6</f>
        <v>18.524999999999999</v>
      </c>
      <c r="K25" s="18">
        <v>20</v>
      </c>
    </row>
    <row r="26" spans="1:11" ht="20.399999999999999" customHeight="1"/>
    <row r="27" spans="1:11" ht="20.399999999999999" customHeight="1">
      <c r="C27" s="28" t="s">
        <v>4</v>
      </c>
      <c r="D27" s="29"/>
      <c r="E27" s="31" t="s">
        <v>5</v>
      </c>
      <c r="F27" s="31"/>
      <c r="G27" s="31" t="s">
        <v>6</v>
      </c>
      <c r="H27" s="31"/>
    </row>
    <row r="28" spans="1:11" ht="20.399999999999999" customHeight="1">
      <c r="A28" s="20" t="s">
        <v>27</v>
      </c>
      <c r="B28" s="2" t="s">
        <v>3</v>
      </c>
      <c r="C28" s="19" t="s">
        <v>35</v>
      </c>
      <c r="D28" s="19" t="s">
        <v>34</v>
      </c>
      <c r="E28" s="2" t="s">
        <v>21</v>
      </c>
      <c r="F28" s="3" t="s">
        <v>22</v>
      </c>
      <c r="G28" s="2" t="s">
        <v>21</v>
      </c>
      <c r="H28" s="3" t="s">
        <v>22</v>
      </c>
    </row>
    <row r="29" spans="1:11" ht="20.399999999999999" customHeight="1">
      <c r="A29" s="3" t="s">
        <v>13</v>
      </c>
      <c r="B29" s="5">
        <f>$B$2-0.5</f>
        <v>35.5</v>
      </c>
      <c r="C29" s="5">
        <f>IF($B$4&gt;7,$B$3+0.2187,$B$3-0.375)</f>
        <v>36.218699999999998</v>
      </c>
      <c r="D29" s="5">
        <f>IF($B$4&gt;7,C29-0.594,C29)</f>
        <v>35.624699999999997</v>
      </c>
      <c r="E29" s="5">
        <f>$B29-5.375</f>
        <v>30.125</v>
      </c>
      <c r="F29" s="5">
        <f>$B29-5.375</f>
        <v>30.125</v>
      </c>
      <c r="G29" s="5">
        <f>($C29-7.9062)*0.6</f>
        <v>16.987500000000001</v>
      </c>
      <c r="H29" s="5">
        <f>($C29-7.9062)*0.4</f>
        <v>11.325000000000001</v>
      </c>
    </row>
    <row r="30" spans="1:11" ht="20.399999999999999" customHeight="1">
      <c r="A30" s="3" t="s">
        <v>15</v>
      </c>
      <c r="B30" s="5">
        <f>$B$2-0.5</f>
        <v>35.5</v>
      </c>
      <c r="C30" s="5">
        <f>IF($B$4&gt;7,$B$3+0.2187,$B$3-0.375)</f>
        <v>36.218699999999998</v>
      </c>
      <c r="D30" s="5">
        <f>IF($B$4&gt;7,C30-0.594,C30)</f>
        <v>35.624699999999997</v>
      </c>
      <c r="E30" s="5">
        <f>$B30-5.375</f>
        <v>30.125</v>
      </c>
      <c r="F30" s="5">
        <f>$B30-5.375</f>
        <v>30.125</v>
      </c>
      <c r="G30" s="5">
        <f>($C30-7.9062)*0.6</f>
        <v>16.987500000000001</v>
      </c>
      <c r="H30" s="5">
        <f>($C30-7.9062)*0.4</f>
        <v>11.325000000000001</v>
      </c>
    </row>
    <row r="31" spans="1:11" ht="20.399999999999999" customHeight="1">
      <c r="A31" s="6" t="s">
        <v>9</v>
      </c>
      <c r="B31" s="5">
        <f t="shared" ref="B31:B32" si="5">$B$2-0.5</f>
        <v>35.5</v>
      </c>
      <c r="C31" s="5">
        <f t="shared" ref="C31:D32" si="6">$B$3-0.375</f>
        <v>35.625</v>
      </c>
      <c r="D31" s="5">
        <f t="shared" si="6"/>
        <v>35.625</v>
      </c>
      <c r="E31" s="5">
        <f>B31-2.5</f>
        <v>33</v>
      </c>
      <c r="F31" s="5">
        <f>B31-4.312</f>
        <v>31.187999999999999</v>
      </c>
      <c r="G31" s="5">
        <f>($G$15+$H$15)*0.6</f>
        <v>18.1128</v>
      </c>
      <c r="H31" s="5">
        <f>($G$15+$H$15)*0.4</f>
        <v>12.075200000000001</v>
      </c>
    </row>
    <row r="32" spans="1:11" ht="20.399999999999999" customHeight="1">
      <c r="A32" s="3" t="s">
        <v>11</v>
      </c>
      <c r="B32" s="5">
        <f t="shared" si="5"/>
        <v>35.5</v>
      </c>
      <c r="C32" s="5">
        <f t="shared" si="6"/>
        <v>35.625</v>
      </c>
      <c r="D32" s="5">
        <f t="shared" si="6"/>
        <v>35.625</v>
      </c>
      <c r="E32" s="5">
        <f>B32-5.824</f>
        <v>29.676000000000002</v>
      </c>
      <c r="F32" s="5">
        <f>B32-4.824</f>
        <v>30.676000000000002</v>
      </c>
      <c r="G32" s="5">
        <f>($G$17+$H$17)*0.6</f>
        <v>18.524999999999999</v>
      </c>
      <c r="H32" s="5">
        <f>($G$17+$H$17)*0.4</f>
        <v>12.350000000000001</v>
      </c>
    </row>
  </sheetData>
  <mergeCells count="26">
    <mergeCell ref="E11:F11"/>
    <mergeCell ref="G11:H11"/>
    <mergeCell ref="E12:F12"/>
    <mergeCell ref="G12:H12"/>
    <mergeCell ref="A1:B1"/>
    <mergeCell ref="E20:F20"/>
    <mergeCell ref="G20:H20"/>
    <mergeCell ref="E16:F16"/>
    <mergeCell ref="G16:H16"/>
    <mergeCell ref="E5:F5"/>
    <mergeCell ref="G5:H5"/>
    <mergeCell ref="G8:H8"/>
    <mergeCell ref="E8:F8"/>
    <mergeCell ref="E10:F10"/>
    <mergeCell ref="G10:H10"/>
    <mergeCell ref="E18:F18"/>
    <mergeCell ref="G18:H18"/>
    <mergeCell ref="E14:F14"/>
    <mergeCell ref="C5:D5"/>
    <mergeCell ref="C20:D20"/>
    <mergeCell ref="C27:D27"/>
    <mergeCell ref="E13:F13"/>
    <mergeCell ref="G14:H14"/>
    <mergeCell ref="G13:H13"/>
    <mergeCell ref="E27:F27"/>
    <mergeCell ref="G27:H27"/>
  </mergeCells>
  <dataValidations count="1">
    <dataValidation type="list" allowBlank="1" showInputMessage="1" showErrorMessage="1" sqref="B4:C4">
      <formula1>$K$3:$K$23</formula1>
    </dataValidation>
  </dataValidations>
  <pageMargins left="0.45" right="0.45" top="1.25" bottom="0.75" header="0.3" footer="0.3"/>
  <pageSetup scale="58" orientation="landscape" r:id="rId1"/>
  <headerFooter>
    <oddHeader>&amp;C&amp;36Windsor Revive Sizing Calculator&amp;11
&amp;24Opening Input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5"/>
  <sheetViews>
    <sheetView showGridLines="0" zoomScale="85" zoomScaleNormal="85" workbookViewId="0">
      <selection activeCell="D4" sqref="D4"/>
    </sheetView>
  </sheetViews>
  <sheetFormatPr defaultRowHeight="14.4"/>
  <cols>
    <col min="1" max="1" width="40.44140625" style="1" customWidth="1"/>
    <col min="2" max="3" width="13.77734375" style="1" customWidth="1"/>
    <col min="4" max="7" width="12.109375" style="1" customWidth="1"/>
    <col min="8" max="8" width="11.109375" style="1" customWidth="1"/>
    <col min="9" max="10" width="8.88671875" style="1" hidden="1" customWidth="1"/>
    <col min="11" max="16384" width="8.88671875" style="1"/>
  </cols>
  <sheetData>
    <row r="1" spans="1:10" ht="19.2" customHeight="1">
      <c r="A1" s="27" t="s">
        <v>23</v>
      </c>
      <c r="B1" s="27"/>
      <c r="J1" s="18"/>
    </row>
    <row r="2" spans="1:10" ht="19.2" customHeight="1">
      <c r="A2" s="3" t="s">
        <v>1</v>
      </c>
      <c r="B2" s="4">
        <v>36</v>
      </c>
      <c r="J2" s="18"/>
    </row>
    <row r="3" spans="1:10" ht="19.2" customHeight="1">
      <c r="A3" s="3" t="s">
        <v>2</v>
      </c>
      <c r="B3" s="4">
        <v>66</v>
      </c>
      <c r="J3" s="18">
        <v>0</v>
      </c>
    </row>
    <row r="4" spans="1:10" ht="19.2" customHeight="1">
      <c r="A4" s="3" t="s">
        <v>0</v>
      </c>
      <c r="B4" s="17">
        <v>14</v>
      </c>
      <c r="J4" s="18">
        <v>1</v>
      </c>
    </row>
    <row r="5" spans="1:10" ht="19.2" customHeight="1">
      <c r="A5" s="7"/>
      <c r="B5" s="8"/>
      <c r="C5" s="8"/>
      <c r="D5" s="8"/>
      <c r="E5" s="7"/>
      <c r="F5" s="7"/>
      <c r="G5" s="7"/>
      <c r="J5" s="18">
        <v>2</v>
      </c>
    </row>
    <row r="6" spans="1:10" ht="21.6" customHeight="1">
      <c r="A6" s="7"/>
      <c r="B6" s="8"/>
      <c r="C6" s="8"/>
      <c r="D6" s="8"/>
      <c r="E6" s="31" t="s">
        <v>5</v>
      </c>
      <c r="F6" s="31"/>
      <c r="G6" s="31" t="s">
        <v>6</v>
      </c>
      <c r="H6" s="31"/>
      <c r="J6" s="18">
        <v>3</v>
      </c>
    </row>
    <row r="7" spans="1:10" ht="21.6" customHeight="1">
      <c r="A7" s="7"/>
      <c r="B7" s="34" t="s">
        <v>17</v>
      </c>
      <c r="C7" s="28" t="s">
        <v>18</v>
      </c>
      <c r="D7" s="29"/>
      <c r="E7" s="31" t="s">
        <v>21</v>
      </c>
      <c r="F7" s="33" t="s">
        <v>22</v>
      </c>
      <c r="G7" s="31" t="s">
        <v>21</v>
      </c>
      <c r="H7" s="33" t="s">
        <v>22</v>
      </c>
      <c r="J7" s="18">
        <v>4</v>
      </c>
    </row>
    <row r="8" spans="1:10" ht="21.6" customHeight="1">
      <c r="A8" s="7"/>
      <c r="B8" s="35"/>
      <c r="C8" s="21" t="s">
        <v>32</v>
      </c>
      <c r="D8" s="21" t="s">
        <v>33</v>
      </c>
      <c r="E8" s="31"/>
      <c r="F8" s="33"/>
      <c r="G8" s="31"/>
      <c r="H8" s="33"/>
      <c r="J8" s="18">
        <v>5</v>
      </c>
    </row>
    <row r="9" spans="1:10" ht="21.6" customHeight="1">
      <c r="A9" s="3" t="s">
        <v>20</v>
      </c>
      <c r="B9" s="5">
        <f t="shared" ref="B9:B14" si="0">F9+2.5</f>
        <v>34.5</v>
      </c>
      <c r="C9" s="5">
        <f>G9+3.375</f>
        <v>33.375</v>
      </c>
      <c r="D9" s="5">
        <f>H9+3.375</f>
        <v>33.375</v>
      </c>
      <c r="E9" s="5">
        <f t="shared" ref="E9:F14" si="1">$B$2-4</f>
        <v>32</v>
      </c>
      <c r="F9" s="5">
        <f t="shared" si="1"/>
        <v>32</v>
      </c>
      <c r="G9" s="5">
        <f>$B$3/2 -3</f>
        <v>30</v>
      </c>
      <c r="H9" s="5">
        <f>$B$3/2 -3</f>
        <v>30</v>
      </c>
      <c r="J9" s="18">
        <v>6</v>
      </c>
    </row>
    <row r="10" spans="1:10" ht="21.6" customHeight="1">
      <c r="A10" s="3" t="s">
        <v>19</v>
      </c>
      <c r="B10" s="5">
        <f t="shared" si="0"/>
        <v>34.5</v>
      </c>
      <c r="C10" s="5">
        <f>G10+3.693</f>
        <v>33.692999999999998</v>
      </c>
      <c r="D10" s="5">
        <f>H10+3.693</f>
        <v>33.692999999999998</v>
      </c>
      <c r="E10" s="5">
        <f t="shared" si="1"/>
        <v>32</v>
      </c>
      <c r="F10" s="5">
        <f t="shared" si="1"/>
        <v>32</v>
      </c>
      <c r="G10" s="5">
        <f>$B$3/2 -3</f>
        <v>30</v>
      </c>
      <c r="H10" s="5">
        <f>$B$3/2 -3</f>
        <v>30</v>
      </c>
      <c r="J10" s="18">
        <v>7</v>
      </c>
    </row>
    <row r="11" spans="1:10" ht="21.6" customHeight="1">
      <c r="A11" s="3" t="s">
        <v>28</v>
      </c>
      <c r="B11" s="5">
        <f t="shared" si="0"/>
        <v>34.5</v>
      </c>
      <c r="C11" s="5">
        <f>G11+3.375</f>
        <v>27.375</v>
      </c>
      <c r="D11" s="5">
        <f>H11+3.375</f>
        <v>39.375</v>
      </c>
      <c r="E11" s="5">
        <f t="shared" si="1"/>
        <v>32</v>
      </c>
      <c r="F11" s="5">
        <f t="shared" si="1"/>
        <v>32</v>
      </c>
      <c r="G11" s="5">
        <f>($B$3-6)*0.4</f>
        <v>24</v>
      </c>
      <c r="H11" s="5">
        <f>($B$3-6)*0.6</f>
        <v>36</v>
      </c>
      <c r="J11" s="18">
        <v>8</v>
      </c>
    </row>
    <row r="12" spans="1:10" ht="21.6" customHeight="1">
      <c r="A12" s="3" t="s">
        <v>29</v>
      </c>
      <c r="B12" s="5">
        <f t="shared" si="0"/>
        <v>34.5</v>
      </c>
      <c r="C12" s="5">
        <f>G12+3.693</f>
        <v>27.693000000000001</v>
      </c>
      <c r="D12" s="5">
        <f>H12+3.693</f>
        <v>39.692999999999998</v>
      </c>
      <c r="E12" s="5">
        <f t="shared" si="1"/>
        <v>32</v>
      </c>
      <c r="F12" s="5">
        <f t="shared" si="1"/>
        <v>32</v>
      </c>
      <c r="G12" s="5">
        <f t="shared" ref="G12" si="2">($B$3-6)*0.4</f>
        <v>24</v>
      </c>
      <c r="H12" s="5">
        <f t="shared" ref="H12" si="3">($B$3-6)*0.6</f>
        <v>36</v>
      </c>
      <c r="J12" s="18">
        <v>9</v>
      </c>
    </row>
    <row r="13" spans="1:10" ht="21.6" customHeight="1">
      <c r="A13" s="3" t="s">
        <v>30</v>
      </c>
      <c r="B13" s="5">
        <f t="shared" si="0"/>
        <v>34.5</v>
      </c>
      <c r="C13" s="5">
        <f>G13+3.375</f>
        <v>39.375</v>
      </c>
      <c r="D13" s="5">
        <f>H13+3.375</f>
        <v>27.375</v>
      </c>
      <c r="E13" s="5">
        <f t="shared" si="1"/>
        <v>32</v>
      </c>
      <c r="F13" s="5">
        <f t="shared" si="1"/>
        <v>32</v>
      </c>
      <c r="G13" s="5">
        <f>($B$3-6)*0.6</f>
        <v>36</v>
      </c>
      <c r="H13" s="5">
        <f>($B$3-6)*0.4</f>
        <v>24</v>
      </c>
      <c r="J13" s="18">
        <v>10</v>
      </c>
    </row>
    <row r="14" spans="1:10" ht="21.6" customHeight="1">
      <c r="A14" s="3" t="s">
        <v>31</v>
      </c>
      <c r="B14" s="5">
        <f t="shared" si="0"/>
        <v>34.5</v>
      </c>
      <c r="C14" s="5">
        <f>G14+3.693</f>
        <v>39.692999999999998</v>
      </c>
      <c r="D14" s="5">
        <f>H14+3.693</f>
        <v>27.693000000000001</v>
      </c>
      <c r="E14" s="5">
        <f t="shared" si="1"/>
        <v>32</v>
      </c>
      <c r="F14" s="5">
        <f t="shared" si="1"/>
        <v>32</v>
      </c>
      <c r="G14" s="5">
        <f>($B$3-6)*0.6</f>
        <v>36</v>
      </c>
      <c r="H14" s="5">
        <f>($B$3-6)*0.4</f>
        <v>24</v>
      </c>
      <c r="J14" s="18">
        <v>11</v>
      </c>
    </row>
    <row r="15" spans="1:10">
      <c r="J15" s="18">
        <v>12</v>
      </c>
    </row>
    <row r="16" spans="1:10">
      <c r="J16" s="18">
        <v>13</v>
      </c>
    </row>
    <row r="17" spans="10:10">
      <c r="J17" s="18">
        <v>14</v>
      </c>
    </row>
    <row r="18" spans="10:10">
      <c r="J18" s="18">
        <v>15</v>
      </c>
    </row>
    <row r="19" spans="10:10">
      <c r="J19" s="18">
        <v>16</v>
      </c>
    </row>
    <row r="20" spans="10:10">
      <c r="J20" s="18">
        <v>17</v>
      </c>
    </row>
    <row r="21" spans="10:10">
      <c r="J21" s="18">
        <v>18</v>
      </c>
    </row>
    <row r="22" spans="10:10">
      <c r="J22" s="18">
        <v>19</v>
      </c>
    </row>
    <row r="23" spans="10:10">
      <c r="J23" s="18">
        <v>20</v>
      </c>
    </row>
    <row r="24" spans="10:10">
      <c r="J24" s="18"/>
    </row>
    <row r="25" spans="10:10">
      <c r="J25" s="18"/>
    </row>
  </sheetData>
  <mergeCells count="9">
    <mergeCell ref="A1:B1"/>
    <mergeCell ref="E6:F6"/>
    <mergeCell ref="G6:H6"/>
    <mergeCell ref="H7:H8"/>
    <mergeCell ref="B7:B8"/>
    <mergeCell ref="C7:D7"/>
    <mergeCell ref="E7:E8"/>
    <mergeCell ref="F7:F8"/>
    <mergeCell ref="G7:G8"/>
  </mergeCells>
  <dataValidations count="1">
    <dataValidation type="list" allowBlank="1" showInputMessage="1" showErrorMessage="1" sqref="B4">
      <formula1>$J$3:$J$23</formula1>
    </dataValidation>
  </dataValidations>
  <pageMargins left="0.45" right="0.45" top="1.48" bottom="0.75" header="0.3" footer="0.3"/>
  <pageSetup scale="80" orientation="landscape" r:id="rId1"/>
  <headerFooter>
    <oddHeader>&amp;C&amp;28Windsor Revive Sizing Calculato&amp;36r&amp;11
&amp;20Sash Replacement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Frame Input</vt:lpstr>
      <vt:lpstr>Opening Input</vt:lpstr>
      <vt:lpstr>Sash Replacement</vt:lpstr>
      <vt:lpstr>'Frame Input'!Print_Area</vt:lpstr>
      <vt:lpstr>'Opening Input'!Print_Area</vt:lpstr>
      <vt:lpstr>'Sash Replacement'!Print_Area</vt:lpstr>
    </vt:vector>
  </TitlesOfParts>
  <Company>Woodgrain Millwork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Meadows, Andrew</dc:creator>
  <cp:lastModifiedBy>pweber</cp:lastModifiedBy>
  <cp:lastPrinted>2016-05-06T21:22:49Z</cp:lastPrinted>
  <dcterms:created xsi:type="dcterms:W3CDTF">2015-10-21T12:47:28Z</dcterms:created>
  <dcterms:modified xsi:type="dcterms:W3CDTF">2017-10-20T16:48:43Z</dcterms:modified>
</cp:coreProperties>
</file>